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d1_">Sheet1!$J$12</definedName>
    <definedName name="d2_">Sheet1!$J$13</definedName>
    <definedName name="F">Sheet1!$J$11</definedName>
    <definedName name="k">Sheet1!$E$13</definedName>
    <definedName name="N__d1">Sheet1!$J$16</definedName>
    <definedName name="N__d2">Sheet1!$J$17</definedName>
    <definedName name="Nd1_">Sheet1!$J$14</definedName>
    <definedName name="Nd2_">Sheet1!$J$15</definedName>
    <definedName name="Pd1_">Sheet1!$J$18</definedName>
    <definedName name="Pd2_">Sheet1!$J$25</definedName>
    <definedName name="_xlnm.Print_Area" localSheetId="0">Sheet1!$B$1:$G$42</definedName>
    <definedName name="q">Sheet1!$J$9</definedName>
    <definedName name="rr">Sheet1!$J$10</definedName>
    <definedName name="s">Sheet1!$E$14</definedName>
    <definedName name="t">Sheet1!$J$8</definedName>
    <definedName name="u">Sheet1!#REF!</definedName>
    <definedName name="v">Sheet1!$E$17</definedName>
  </definedNames>
  <calcPr calcId="144525"/>
</workbook>
</file>

<file path=xl/calcChain.xml><?xml version="1.0" encoding="utf-8"?>
<calcChain xmlns="http://schemas.openxmlformats.org/spreadsheetml/2006/main">
  <c r="C16" i="1" l="1"/>
  <c r="G15" i="1" l="1"/>
  <c r="G19" i="1" l="1"/>
  <c r="G18" i="1"/>
  <c r="J7" i="1"/>
  <c r="C19" i="1"/>
  <c r="C18" i="1"/>
  <c r="C20" i="1"/>
  <c r="C23" i="1" l="1"/>
  <c r="C26" i="1"/>
  <c r="J8" i="1"/>
  <c r="E23" i="1"/>
  <c r="E26" i="1"/>
  <c r="C21" i="1"/>
  <c r="C24" i="1"/>
  <c r="E20" i="1"/>
  <c r="J10" i="1" l="1"/>
  <c r="J9" i="1"/>
  <c r="J11" i="1" l="1"/>
  <c r="J13" i="1" s="1"/>
  <c r="J15" i="1" s="1"/>
  <c r="D37" i="1" s="1"/>
  <c r="E15" i="1"/>
  <c r="J12" i="1"/>
  <c r="J18" i="1" s="1"/>
  <c r="E32" i="1" l="1"/>
  <c r="E33" i="1"/>
  <c r="D33" i="1"/>
  <c r="D32" i="1"/>
  <c r="J14" i="1"/>
  <c r="D38" i="1"/>
  <c r="J17" i="1"/>
  <c r="E37" i="1" s="1"/>
  <c r="D35" i="1" l="1"/>
  <c r="D36" i="1" s="1"/>
  <c r="D31" i="1"/>
  <c r="D29" i="1"/>
  <c r="D39" i="1"/>
  <c r="D40" i="1" s="1"/>
  <c r="E38" i="1"/>
  <c r="E34" i="1"/>
  <c r="D34" i="1"/>
  <c r="J16" i="1"/>
  <c r="E31" i="1" l="1"/>
  <c r="E29" i="1"/>
  <c r="E39" i="1"/>
  <c r="E35" i="1"/>
  <c r="E36" i="1" s="1"/>
  <c r="E40" i="1"/>
</calcChain>
</file>

<file path=xl/sharedStrings.xml><?xml version="1.0" encoding="utf-8"?>
<sst xmlns="http://schemas.openxmlformats.org/spreadsheetml/2006/main" count="48" uniqueCount="46">
  <si>
    <t>Input data:</t>
  </si>
  <si>
    <t>e.g. enter "6.375%" as "6.375"</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</si>
  <si>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</si>
  <si>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</si>
  <si>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</si>
  <si>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Strike</t>
  </si>
  <si>
    <t>Current spot price</t>
  </si>
  <si>
    <t>Volatility</t>
  </si>
  <si>
    <t>N(-d1)</t>
  </si>
  <si>
    <t>N(-d2)</t>
  </si>
  <si>
    <t>d1</t>
  </si>
  <si>
    <t>d2</t>
  </si>
  <si>
    <t>What are a European option's put and call premium values and Greeks, using the Black &amp; Scholes model?</t>
  </si>
  <si>
    <t>Choices for input:</t>
  </si>
  <si>
    <t>Input specific dates or numbers of days?</t>
  </si>
  <si>
    <t>Input continuously compounded interest rates or 'normal' quoted rates for the period?</t>
  </si>
  <si>
    <t>Vega</t>
  </si>
  <si>
    <t>Gamma</t>
  </si>
  <si>
    <t xml:space="preserve">    theta per day</t>
  </si>
  <si>
    <t>Call</t>
  </si>
  <si>
    <t>Put</t>
  </si>
  <si>
    <t>Nd1</t>
  </si>
  <si>
    <t>Nd2</t>
  </si>
  <si>
    <t>Pd1</t>
  </si>
  <si>
    <t>t = days/365</t>
  </si>
  <si>
    <t xml:space="preserve">    vega for a 1% change in volatility</t>
  </si>
  <si>
    <t>Days until expiry</t>
  </si>
  <si>
    <r>
      <t xml:space="preserve">(Do </t>
    </r>
    <r>
      <rPr>
        <b/>
        <sz val="11"/>
        <color theme="1"/>
        <rFont val="Calibri"/>
        <family val="2"/>
        <scheme val="minor"/>
      </rPr>
      <t>not</t>
    </r>
    <r>
      <rPr>
        <sz val="11"/>
        <color theme="1"/>
        <rFont val="Calibri"/>
        <family val="2"/>
        <scheme val="minor"/>
      </rPr>
      <t xml:space="preserve"> delete this part of the spreadsheet!)</t>
    </r>
  </si>
  <si>
    <t>DAYS</t>
  </si>
  <si>
    <t>Black &amp; Scholes option values and Greeks for a dividend-paying asset</t>
  </si>
  <si>
    <t>Delta</t>
  </si>
  <si>
    <t>Premium</t>
  </si>
  <si>
    <t>Theta</t>
  </si>
  <si>
    <t>Rho</t>
  </si>
  <si>
    <t xml:space="preserve">    rho for a 1% change in the interest rate</t>
  </si>
  <si>
    <t>Phi (= rho for the dividend rate)</t>
  </si>
  <si>
    <t xml:space="preserve">    phi for a 1% change in the dividend interest rate</t>
  </si>
  <si>
    <t xml:space="preserve">    Forward price calculated using the spot above and the interest rates below</t>
  </si>
  <si>
    <t>Input forward price or let the spreadsheet calculate it theoretically from the interest rates?</t>
  </si>
  <si>
    <t>Year basis for a 'normal' quoted dividend rate (usually 360 or 365)</t>
  </si>
  <si>
    <t>Year basis for a 'normal' quoted interest rate (usually 360 or 365)</t>
  </si>
  <si>
    <t>f = forward price</t>
  </si>
  <si>
    <t>r = interest rate (cont comp)</t>
  </si>
  <si>
    <t>q = dividend rate (cont comp)</t>
  </si>
  <si>
    <t>CONTINUOUS</t>
  </si>
  <si>
    <t>CALCULATE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</si>
</sst>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00%"/>
    <numFmt numFmtId="165" formatCode="[$-F800]dddd\,\ mmmm\ dd\,\ yyyy"/>
    <numFmt numFmtId="166" formatCode="0.000000"/>
  </numFmts>
  <fonts count="17"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i/>
      <sz val="11"/>
      <color theme="1"/>
      <name val="Calibri"/>
      <family val="2"/>
      <scheme val="minor"/>
    </font>
    <font>
      <i/>
      <sz val="11"/>
      <color rgb="FFFF0000"/>
      <name val="Calibri"/>
      <family val="2"/>
      <scheme val="minor"/>
    </font>
    <font>
      <b/>
      <u/>
      <sz val="11"/>
      <color rgb="FFFF0000"/>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75">
    <xf numFmtId="0" fontId="0" fillId="0" borderId="0" xfId="0"/>
    <xf numFmtId="0" fontId="8" fillId="4" borderId="0" xfId="7" applyBorder="1" applyProtection="1">
      <protection locked="0"/>
    </xf>
    <xf numFmtId="164" fontId="8" fillId="4" borderId="0" xfId="7" applyNumberFormat="1" applyBorder="1" applyProtection="1">
      <protection locked="0"/>
    </xf>
    <xf numFmtId="165" fontId="8" fillId="4" borderId="0" xfId="7" applyNumberFormat="1" applyBorder="1" applyProtection="1">
      <protection locked="0"/>
    </xf>
    <xf numFmtId="0" fontId="8" fillId="4" borderId="0" xfId="7" applyNumberFormat="1" applyBorder="1" applyProtection="1">
      <protection locked="0"/>
    </xf>
    <xf numFmtId="4" fontId="8" fillId="4" borderId="0" xfId="7" applyNumberFormat="1" applyBorder="1" applyAlignment="1" applyProtection="1">
      <alignment horizontal="right"/>
      <protection locked="0"/>
    </xf>
    <xf numFmtId="4" fontId="8" fillId="4" borderId="11" xfId="7" applyNumberFormat="1" applyBorder="1" applyAlignment="1" applyProtection="1">
      <alignment horizontal="right"/>
      <protection locked="0"/>
    </xf>
    <xf numFmtId="0" fontId="8" fillId="4" borderId="11" xfId="7" applyBorder="1" applyProtection="1">
      <protection locked="0"/>
    </xf>
    <xf numFmtId="164" fontId="8" fillId="4" borderId="11" xfId="7" applyNumberFormat="1" applyBorder="1" applyProtection="1">
      <protection locked="0"/>
    </xf>
    <xf numFmtId="0" fontId="11" fillId="0" borderId="0" xfId="0" applyFont="1" applyProtection="1"/>
    <xf numFmtId="0" fontId="0" fillId="0" borderId="0" xfId="0" applyProtection="1"/>
    <xf numFmtId="0" fontId="0" fillId="0" borderId="0" xfId="0" applyFont="1" applyProtection="1"/>
    <xf numFmtId="0" fontId="4" fillId="3" borderId="2" xfId="4" applyBorder="1" applyProtection="1"/>
    <xf numFmtId="0" fontId="2" fillId="3" borderId="3" xfId="8" applyBorder="1" applyProtection="1"/>
    <xf numFmtId="0" fontId="4" fillId="3" borderId="3" xfId="4" applyBorder="1" applyProtection="1"/>
    <xf numFmtId="0" fontId="4" fillId="3" borderId="4" xfId="4" applyBorder="1" applyProtection="1"/>
    <xf numFmtId="0" fontId="4" fillId="3" borderId="5" xfId="4" applyBorder="1" applyProtection="1"/>
    <xf numFmtId="0" fontId="6" fillId="3" borderId="0" xfId="3" applyBorder="1" applyProtection="1"/>
    <xf numFmtId="0" fontId="4" fillId="3" borderId="0" xfId="4" applyBorder="1" applyProtection="1"/>
    <xf numFmtId="0" fontId="4" fillId="3" borderId="6" xfId="4" applyBorder="1" applyProtection="1"/>
    <xf numFmtId="0" fontId="10" fillId="3" borderId="0" xfId="6" applyBorder="1" applyAlignment="1" applyProtection="1">
      <alignment horizontal="right"/>
    </xf>
    <xf numFmtId="0" fontId="13" fillId="4" borderId="0" xfId="0" applyFont="1" applyFill="1" applyProtection="1"/>
    <xf numFmtId="0" fontId="0" fillId="4" borderId="0" xfId="0" applyFill="1" applyProtection="1"/>
    <xf numFmtId="0" fontId="5" fillId="4" borderId="0" xfId="11" applyBorder="1" applyProtection="1"/>
    <xf numFmtId="0" fontId="5" fillId="4" borderId="11" xfId="11" applyBorder="1" applyProtection="1"/>
    <xf numFmtId="0" fontId="15" fillId="3" borderId="6" xfId="5" applyFont="1" applyBorder="1" applyProtection="1"/>
    <xf numFmtId="0" fontId="0" fillId="5" borderId="0" xfId="0" applyFill="1" applyProtection="1"/>
    <xf numFmtId="0" fontId="5" fillId="5" borderId="0" xfId="11" applyFont="1" applyFill="1" applyBorder="1" applyProtection="1"/>
    <xf numFmtId="0" fontId="0" fillId="5" borderId="0" xfId="0" applyFont="1" applyFill="1" applyProtection="1"/>
    <xf numFmtId="0" fontId="9" fillId="4" borderId="0" xfId="11" applyFont="1" applyBorder="1" applyProtection="1"/>
    <xf numFmtId="0" fontId="14" fillId="3" borderId="6" xfId="4" applyFont="1" applyBorder="1" applyProtection="1"/>
    <xf numFmtId="0" fontId="9" fillId="3" borderId="6" xfId="5" applyFont="1" applyBorder="1" applyProtection="1"/>
    <xf numFmtId="0" fontId="9" fillId="3" borderId="6" xfId="5" applyBorder="1" applyProtection="1"/>
    <xf numFmtId="164" fontId="0" fillId="5" borderId="0" xfId="0" applyNumberFormat="1" applyFill="1" applyProtection="1"/>
    <xf numFmtId="0" fontId="0" fillId="3" borderId="0" xfId="0" applyFill="1" applyProtection="1"/>
    <xf numFmtId="0" fontId="9" fillId="4" borderId="11" xfId="11" applyFont="1" applyBorder="1" applyProtection="1"/>
    <xf numFmtId="164" fontId="9" fillId="4" borderId="0" xfId="11" applyNumberFormat="1" applyFont="1" applyBorder="1" applyProtection="1"/>
    <xf numFmtId="0" fontId="0" fillId="4" borderId="2" xfId="4" applyFont="1" applyFill="1" applyBorder="1" applyProtection="1"/>
    <xf numFmtId="0" fontId="0" fillId="4" borderId="5" xfId="4" applyFont="1" applyFill="1" applyBorder="1" applyProtection="1"/>
    <xf numFmtId="10" fontId="3" fillId="4" borderId="6" xfId="6" applyNumberFormat="1" applyFont="1" applyFill="1" applyBorder="1" applyAlignment="1" applyProtection="1">
      <alignment horizontal="right"/>
    </xf>
    <xf numFmtId="0" fontId="13" fillId="4" borderId="5" xfId="4" applyFont="1" applyFill="1" applyBorder="1" applyProtection="1"/>
    <xf numFmtId="0" fontId="16" fillId="4" borderId="0" xfId="4" applyFont="1" applyFill="1" applyBorder="1" applyProtection="1"/>
    <xf numFmtId="0" fontId="3" fillId="4" borderId="6" xfId="6" applyFont="1" applyFill="1" applyBorder="1" applyAlignment="1" applyProtection="1">
      <alignment horizontal="right"/>
    </xf>
    <xf numFmtId="10" fontId="3" fillId="4" borderId="0" xfId="6" applyNumberFormat="1" applyFont="1" applyFill="1" applyBorder="1" applyAlignment="1" applyProtection="1">
      <alignment horizontal="right"/>
    </xf>
    <xf numFmtId="0" fontId="12" fillId="3" borderId="6" xfId="4" applyFont="1" applyBorder="1" applyProtection="1"/>
    <xf numFmtId="0" fontId="12" fillId="0" borderId="0" xfId="0" applyFont="1" applyProtection="1"/>
    <xf numFmtId="0" fontId="4" fillId="3" borderId="7" xfId="4" applyBorder="1" applyProtection="1"/>
    <xf numFmtId="0" fontId="7" fillId="3" borderId="8" xfId="9" applyBorder="1" applyProtection="1"/>
    <xf numFmtId="0" fontId="4" fillId="3" borderId="8" xfId="4" applyBorder="1" applyProtection="1"/>
    <xf numFmtId="0" fontId="7" fillId="3" borderId="9" xfId="9" applyBorder="1" applyProtection="1"/>
    <xf numFmtId="166" fontId="3" fillId="4" borderId="0" xfId="0" applyNumberFormat="1" applyFont="1" applyFill="1" applyBorder="1" applyProtection="1"/>
    <xf numFmtId="166" fontId="3" fillId="4" borderId="6" xfId="0" applyNumberFormat="1" applyFont="1" applyFill="1" applyBorder="1" applyProtection="1"/>
    <xf numFmtId="166" fontId="3" fillId="4" borderId="0" xfId="4" applyNumberFormat="1" applyFont="1" applyFill="1" applyBorder="1" applyProtection="1"/>
    <xf numFmtId="166" fontId="3" fillId="4" borderId="6" xfId="4" applyNumberFormat="1" applyFont="1" applyFill="1" applyBorder="1" applyProtection="1"/>
    <xf numFmtId="166" fontId="3" fillId="4" borderId="6" xfId="6" applyNumberFormat="1" applyFont="1" applyFill="1" applyBorder="1" applyAlignment="1" applyProtection="1">
      <alignment horizontal="right"/>
    </xf>
    <xf numFmtId="0" fontId="11" fillId="0" borderId="0" xfId="0" applyFont="1" applyFill="1" applyBorder="1" applyProtection="1"/>
    <xf numFmtId="0" fontId="0" fillId="0" borderId="0" xfId="0" applyFill="1" applyBorder="1" applyProtection="1"/>
    <xf numFmtId="0" fontId="0" fillId="0" borderId="0" xfId="0" applyFill="1" applyProtection="1"/>
    <xf numFmtId="0" fontId="0" fillId="4" borderId="7" xfId="4" applyFont="1" applyFill="1" applyBorder="1" applyProtection="1"/>
    <xf numFmtId="166" fontId="3" fillId="4" borderId="8" xfId="0" applyNumberFormat="1" applyFont="1" applyFill="1" applyBorder="1" applyProtection="1"/>
    <xf numFmtId="166" fontId="3" fillId="4" borderId="9" xfId="0" applyNumberFormat="1" applyFont="1" applyFill="1" applyBorder="1" applyProtection="1"/>
    <xf numFmtId="0" fontId="13" fillId="4" borderId="3" xfId="4" applyFont="1" applyFill="1" applyBorder="1" applyAlignment="1" applyProtection="1">
      <alignment horizontal="right"/>
    </xf>
    <xf numFmtId="0" fontId="13" fillId="4" borderId="4" xfId="0" applyFont="1" applyFill="1" applyBorder="1" applyAlignment="1" applyProtection="1">
      <alignment horizontal="right"/>
    </xf>
    <xf numFmtId="164" fontId="8" fillId="4" borderId="0" xfId="7" applyNumberFormat="1" applyFont="1" applyBorder="1" applyProtection="1">
      <protection locked="0"/>
    </xf>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xf>
    <xf numFmtId="0" fontId="11" fillId="5" borderId="4" xfId="0" applyFont="1" applyFill="1" applyBorder="1" applyAlignment="1" applyProtection="1">
      <alignment horizontal="center" vertical="top"/>
    </xf>
    <xf numFmtId="0" fontId="11" fillId="5" borderId="5" xfId="0" applyFont="1" applyFill="1" applyBorder="1" applyAlignment="1" applyProtection="1">
      <alignment horizontal="center" vertical="top"/>
    </xf>
    <xf numFmtId="0" fontId="11" fillId="5" borderId="0" xfId="0" applyFont="1" applyFill="1" applyBorder="1" applyAlignment="1" applyProtection="1">
      <alignment horizontal="center" vertical="top"/>
    </xf>
    <xf numFmtId="0" fontId="11" fillId="5" borderId="6" xfId="0" applyFont="1" applyFill="1" applyBorder="1" applyAlignment="1" applyProtection="1">
      <alignment horizontal="center" vertical="top"/>
    </xf>
    <xf numFmtId="0" fontId="11" fillId="5" borderId="7" xfId="0" applyFont="1" applyFill="1" applyBorder="1" applyAlignment="1" applyProtection="1">
      <alignment horizontal="center" vertical="top"/>
    </xf>
    <xf numFmtId="0" fontId="11" fillId="5" borderId="8" xfId="0" applyFont="1" applyFill="1" applyBorder="1" applyAlignment="1" applyProtection="1">
      <alignment horizontal="center" vertical="top"/>
    </xf>
    <xf numFmtId="0" fontId="11" fillId="5" borderId="9" xfId="0" applyFont="1" applyFill="1" applyBorder="1" applyAlignment="1" applyProtection="1">
      <alignment horizontal="center" vertical="top"/>
    </xf>
    <xf numFmtId="0" fontId="9" fillId="4" borderId="11" xfId="11" applyFont="1" applyBorder="1" applyProtection="1">
      <protection locked="0"/>
    </xf>
    <xf numFmtId="0" fontId="14" fillId="4" borderId="0" xfId="0" applyFont="1" applyFill="1" applyProtection="1"/>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3">
    <dxf>
      <font>
        <strike/>
        <color theme="3" tint="0.79998168889431442"/>
      </font>
    </dxf>
    <dxf>
      <numFmt numFmtId="0" formatCode="General"/>
    </dxf>
    <dxf>
      <font>
        <b val="0"/>
        <i/>
        <strike/>
        <color theme="3" tint="0.79998168889431442"/>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Normal="100" workbookViewId="0">
      <selection activeCell="E10" sqref="E10"/>
    </sheetView>
  </sheetViews>
  <sheetFormatPr defaultRowHeight="15" x14ac:dyDescent="0.25"/>
  <cols>
    <col min="1" max="2" width="2.85546875" style="10" customWidth="1"/>
    <col min="3" max="3" width="65.7109375" style="10" customWidth="1"/>
    <col min="4" max="4" width="18.28515625" style="10" customWidth="1"/>
    <col min="5" max="5" width="17.7109375" style="10" customWidth="1"/>
    <col min="6" max="6" width="1.85546875" style="10" customWidth="1"/>
    <col min="7" max="7" width="29.5703125" style="10" customWidth="1"/>
    <col min="8" max="8" width="2.5703125" style="10" customWidth="1"/>
    <col min="9" max="9" width="33.42578125" style="10" customWidth="1"/>
    <col min="10" max="10" width="11.28515625" style="10" customWidth="1"/>
    <col min="11" max="16384" width="9.140625" style="10"/>
  </cols>
  <sheetData>
    <row r="1" spans="1:10" x14ac:dyDescent="0.25">
      <c r="A1" s="9"/>
      <c r="B1" s="64" t="s">
        <v>4</v>
      </c>
      <c r="C1" s="65"/>
      <c r="D1" s="65"/>
      <c r="E1" s="65"/>
      <c r="F1" s="65"/>
      <c r="G1" s="66"/>
    </row>
    <row r="2" spans="1:10" x14ac:dyDescent="0.25">
      <c r="A2" s="9"/>
      <c r="B2" s="67"/>
      <c r="C2" s="68"/>
      <c r="D2" s="68"/>
      <c r="E2" s="68"/>
      <c r="F2" s="68"/>
      <c r="G2" s="69"/>
      <c r="I2" s="55"/>
      <c r="J2" s="56"/>
    </row>
    <row r="3" spans="1:10" x14ac:dyDescent="0.25">
      <c r="A3" s="9"/>
      <c r="B3" s="67"/>
      <c r="C3" s="68"/>
      <c r="D3" s="68"/>
      <c r="E3" s="68"/>
      <c r="F3" s="68"/>
      <c r="G3" s="69"/>
      <c r="I3" s="56"/>
      <c r="J3" s="56"/>
    </row>
    <row r="4" spans="1:10" ht="15.75" thickBot="1" x14ac:dyDescent="0.3">
      <c r="A4" s="9"/>
      <c r="B4" s="70"/>
      <c r="C4" s="71"/>
      <c r="D4" s="71"/>
      <c r="E4" s="71"/>
      <c r="F4" s="71"/>
      <c r="G4" s="72"/>
      <c r="I4" s="56"/>
      <c r="J4" s="56"/>
    </row>
    <row r="5" spans="1:10" ht="15.75" thickBot="1" x14ac:dyDescent="0.3">
      <c r="I5" s="56"/>
      <c r="J5" s="56"/>
    </row>
    <row r="6" spans="1:10" s="11" customFormat="1" ht="21" x14ac:dyDescent="0.35">
      <c r="B6" s="12"/>
      <c r="C6" s="13" t="s">
        <v>29</v>
      </c>
      <c r="D6" s="13"/>
      <c r="E6" s="14"/>
      <c r="F6" s="14"/>
      <c r="G6" s="15"/>
      <c r="H6" s="10"/>
      <c r="I6" s="26" t="s">
        <v>27</v>
      </c>
      <c r="J6" s="26"/>
    </row>
    <row r="7" spans="1:10" s="11" customFormat="1" ht="21" x14ac:dyDescent="0.35">
      <c r="B7" s="16"/>
      <c r="C7" s="17" t="s">
        <v>12</v>
      </c>
      <c r="D7" s="17"/>
      <c r="E7" s="18"/>
      <c r="F7" s="18"/>
      <c r="G7" s="19"/>
      <c r="H7" s="10"/>
      <c r="I7" s="27" t="s">
        <v>26</v>
      </c>
      <c r="J7" s="28">
        <f>IF(E10="dates",E19-E18,E18)</f>
        <v>180</v>
      </c>
    </row>
    <row r="8" spans="1:10" ht="18.75" x14ac:dyDescent="0.3">
      <c r="B8" s="16"/>
      <c r="C8" s="18"/>
      <c r="D8" s="18"/>
      <c r="E8" s="20" t="s">
        <v>0</v>
      </c>
      <c r="F8" s="18"/>
      <c r="G8" s="19"/>
      <c r="I8" s="26" t="s">
        <v>24</v>
      </c>
      <c r="J8" s="26">
        <f>J7/365</f>
        <v>0.49315068493150682</v>
      </c>
    </row>
    <row r="9" spans="1:10" x14ac:dyDescent="0.25">
      <c r="B9" s="16"/>
      <c r="C9" s="21" t="s">
        <v>13</v>
      </c>
      <c r="D9" s="21"/>
      <c r="E9" s="22"/>
      <c r="F9" s="18"/>
      <c r="G9" s="19"/>
      <c r="I9" s="26" t="s">
        <v>43</v>
      </c>
      <c r="J9" s="33">
        <f>IF(E11="continuous",E24,E26)</f>
        <v>4.4999999999999998E-2</v>
      </c>
    </row>
    <row r="10" spans="1:10" x14ac:dyDescent="0.25">
      <c r="B10" s="16"/>
      <c r="C10" s="23" t="s">
        <v>14</v>
      </c>
      <c r="D10" s="23"/>
      <c r="E10" s="5" t="s">
        <v>28</v>
      </c>
      <c r="F10" s="18"/>
      <c r="G10" s="19"/>
      <c r="I10" s="26" t="s">
        <v>42</v>
      </c>
      <c r="J10" s="33">
        <f>IF(E11="continuous",E21,E23)</f>
        <v>3.1699999999999999E-2</v>
      </c>
    </row>
    <row r="11" spans="1:10" x14ac:dyDescent="0.25">
      <c r="B11" s="16"/>
      <c r="C11" s="23" t="s">
        <v>15</v>
      </c>
      <c r="D11" s="23"/>
      <c r="E11" s="5" t="s">
        <v>44</v>
      </c>
      <c r="F11" s="18"/>
      <c r="G11" s="19"/>
      <c r="I11" s="26" t="s">
        <v>41</v>
      </c>
      <c r="J11" s="26">
        <f>IF(E12="input",E16,E14*EXP((J10-J9)*t))</f>
        <v>537.46324417689527</v>
      </c>
    </row>
    <row r="12" spans="1:10" x14ac:dyDescent="0.25">
      <c r="B12" s="16"/>
      <c r="C12" s="24" t="s">
        <v>38</v>
      </c>
      <c r="D12" s="24"/>
      <c r="E12" s="6" t="s">
        <v>45</v>
      </c>
      <c r="F12" s="18"/>
      <c r="G12" s="19"/>
      <c r="I12" s="26" t="s">
        <v>10</v>
      </c>
      <c r="J12" s="26">
        <f>(LN(F/k)+0.5*v^2*t)/(v*t^0.5)</f>
        <v>-0.1188224662910293</v>
      </c>
    </row>
    <row r="13" spans="1:10" x14ac:dyDescent="0.25">
      <c r="B13" s="16"/>
      <c r="C13" s="23" t="s">
        <v>5</v>
      </c>
      <c r="D13" s="23"/>
      <c r="E13" s="4">
        <v>546</v>
      </c>
      <c r="F13" s="18"/>
      <c r="G13" s="25"/>
      <c r="I13" s="26" t="s">
        <v>11</v>
      </c>
      <c r="J13" s="26">
        <f>(LN(F/k)-0.5*v^2*t)/(v*t^0.5)</f>
        <v>-0.21362579551989505</v>
      </c>
    </row>
    <row r="14" spans="1:10" x14ac:dyDescent="0.25">
      <c r="B14" s="16"/>
      <c r="C14" s="23" t="s">
        <v>6</v>
      </c>
      <c r="D14" s="23"/>
      <c r="E14" s="1">
        <v>541</v>
      </c>
      <c r="F14" s="18"/>
      <c r="G14" s="19"/>
      <c r="I14" s="26" t="s">
        <v>21</v>
      </c>
      <c r="J14" s="26">
        <f>_xlfn.NORM.S.DIST(d1_,TRUE)</f>
        <v>0.45270800462596467</v>
      </c>
    </row>
    <row r="15" spans="1:10" x14ac:dyDescent="0.25">
      <c r="B15" s="16"/>
      <c r="C15" s="29" t="s">
        <v>37</v>
      </c>
      <c r="D15" s="23"/>
      <c r="E15" s="74">
        <f>E14*EXP((J10-J9)*J7/365)</f>
        <v>537.46324417689527</v>
      </c>
      <c r="F15" s="18"/>
      <c r="G15" s="30" t="str">
        <f>IF(E12="input","This will be ignored","")</f>
        <v/>
      </c>
      <c r="I15" s="26" t="s">
        <v>22</v>
      </c>
      <c r="J15" s="26">
        <f>_xlfn.NORM.S.DIST(d2_,TRUE)</f>
        <v>0.41541944090661964</v>
      </c>
    </row>
    <row r="16" spans="1:10" x14ac:dyDescent="0.25">
      <c r="B16" s="16"/>
      <c r="C16" s="24" t="str">
        <f>IF(E12="input","Forward price input by you","")</f>
        <v/>
      </c>
      <c r="D16" s="24"/>
      <c r="E16" s="7">
        <v>0.96499999999999997</v>
      </c>
      <c r="F16" s="18"/>
      <c r="G16" s="19"/>
      <c r="I16" s="26" t="s">
        <v>8</v>
      </c>
      <c r="J16" s="26">
        <f>1-J14</f>
        <v>0.54729199537403539</v>
      </c>
    </row>
    <row r="17" spans="2:10" x14ac:dyDescent="0.25">
      <c r="B17" s="16"/>
      <c r="C17" s="24" t="s">
        <v>7</v>
      </c>
      <c r="D17" s="24"/>
      <c r="E17" s="8">
        <v>0.13500000000000001</v>
      </c>
      <c r="F17" s="18"/>
      <c r="G17" s="31" t="s">
        <v>1</v>
      </c>
      <c r="I17" s="26" t="s">
        <v>9</v>
      </c>
      <c r="J17" s="26">
        <f>1-J15</f>
        <v>0.58458055909338036</v>
      </c>
    </row>
    <row r="18" spans="2:10" x14ac:dyDescent="0.25">
      <c r="B18" s="16"/>
      <c r="C18" s="23" t="str">
        <f>IF(E10="dates","Date now","Number of days until expiry")</f>
        <v>Number of days until expiry</v>
      </c>
      <c r="D18" s="23"/>
      <c r="E18" s="3">
        <v>180</v>
      </c>
      <c r="F18" s="18"/>
      <c r="G18" s="32" t="str">
        <f>IF(E10="dates","e.g. enter '23-2-12'","")</f>
        <v/>
      </c>
      <c r="I18" s="26" t="s">
        <v>23</v>
      </c>
      <c r="J18" s="26">
        <f>_xlfn.NORM.S.DIST(d1_,FALSE)</f>
        <v>0.39613590884590155</v>
      </c>
    </row>
    <row r="19" spans="2:10" x14ac:dyDescent="0.25">
      <c r="B19" s="16"/>
      <c r="C19" s="23" t="str">
        <f>IF(E10="dates","Expiry date","")</f>
        <v/>
      </c>
      <c r="D19" s="23"/>
      <c r="E19" s="3">
        <v>41106</v>
      </c>
      <c r="F19" s="18"/>
      <c r="G19" s="32" t="str">
        <f>IF(E10="dates","e.g. enter '23-2-12'","")</f>
        <v/>
      </c>
    </row>
    <row r="20" spans="2:10" x14ac:dyDescent="0.25">
      <c r="B20" s="16"/>
      <c r="C20" s="35" t="str">
        <f>IF(E10="dates","    Number of days until expiry","")</f>
        <v/>
      </c>
      <c r="D20" s="35"/>
      <c r="E20" s="73" t="str">
        <f>IF(E10="dates",J7,"")</f>
        <v/>
      </c>
      <c r="F20" s="34"/>
      <c r="G20" s="31"/>
    </row>
    <row r="21" spans="2:10" x14ac:dyDescent="0.25">
      <c r="B21" s="16"/>
      <c r="C21" s="23" t="str">
        <f>IF(E11="continuous","Interest rate (continuously compounded, 365-day year)","'Normal' quoted interest rate for "&amp;TEXT(J7,"#")&amp;" days")</f>
        <v>Interest rate (continuously compounded, 365-day year)</v>
      </c>
      <c r="D21" s="23"/>
      <c r="E21" s="2">
        <v>3.1699999999999999E-2</v>
      </c>
      <c r="F21" s="18"/>
      <c r="G21" s="31" t="s">
        <v>1</v>
      </c>
    </row>
    <row r="22" spans="2:10" x14ac:dyDescent="0.25">
      <c r="B22" s="16"/>
      <c r="C22" s="23" t="s">
        <v>40</v>
      </c>
      <c r="D22" s="23"/>
      <c r="E22" s="4">
        <v>360</v>
      </c>
      <c r="F22" s="18"/>
      <c r="G22" s="31"/>
    </row>
    <row r="23" spans="2:10" x14ac:dyDescent="0.25">
      <c r="B23" s="16"/>
      <c r="C23" s="29" t="str">
        <f>IF(E11="continuous","    Equivalent 'normal' interest rate for "&amp;TEXT(J7,"#")&amp;" days","    Equivalent continuously compounded interest rate (365-day year)")</f>
        <v xml:space="preserve">    Equivalent 'normal' interest rate for 180 days</v>
      </c>
      <c r="D23" s="29"/>
      <c r="E23" s="36">
        <f>IF(E11="continuous",(EXP(E21*J7/365)-1)*(E22/J7),LN(1+E21*J7/E22)*365/J7)</f>
        <v>3.151141874138963E-2</v>
      </c>
      <c r="F23" s="18"/>
      <c r="G23" s="31"/>
    </row>
    <row r="24" spans="2:10" x14ac:dyDescent="0.25">
      <c r="B24" s="16"/>
      <c r="C24" s="23" t="str">
        <f>IF(E11="continuous","Dividend rate (continuously compounded, 365-day year)","'Normal' quoted dividend rate for "&amp;TEXT(J7,"#")&amp;" days")</f>
        <v>Dividend rate (continuously compounded, 365-day year)</v>
      </c>
      <c r="D24" s="23"/>
      <c r="E24" s="63">
        <v>4.4999999999999998E-2</v>
      </c>
      <c r="F24" s="18"/>
      <c r="G24" s="31" t="s">
        <v>1</v>
      </c>
    </row>
    <row r="25" spans="2:10" x14ac:dyDescent="0.25">
      <c r="B25" s="16"/>
      <c r="C25" s="23" t="s">
        <v>39</v>
      </c>
      <c r="D25" s="23"/>
      <c r="E25" s="4">
        <v>365</v>
      </c>
      <c r="F25" s="18"/>
      <c r="G25" s="31"/>
      <c r="I25" s="57"/>
      <c r="J25" s="57"/>
    </row>
    <row r="26" spans="2:10" x14ac:dyDescent="0.25">
      <c r="B26" s="16"/>
      <c r="C26" s="29" t="str">
        <f>IF(E11="continuous","    Equivalent 'normal' quoted dividend rate for "&amp;TEXT(J7,"#")&amp;" days","    Equivalent continuously compounded dividend rate (365-day year)")</f>
        <v xml:space="preserve">    Equivalent 'normal' quoted dividend rate for 180 days</v>
      </c>
      <c r="D26" s="29"/>
      <c r="E26" s="36">
        <f>IF(E11="continuous",((EXP(E24*J7/365)-1)*(E25/J7)),LN(1+E24*J7/E25)*365/J7)</f>
        <v>4.550302921498834E-2</v>
      </c>
      <c r="F26" s="18"/>
      <c r="G26" s="31"/>
    </row>
    <row r="27" spans="2:10" ht="19.5" thickBot="1" x14ac:dyDescent="0.35">
      <c r="B27" s="16"/>
      <c r="C27" s="18"/>
      <c r="D27" s="18"/>
      <c r="E27" s="20" t="s">
        <v>2</v>
      </c>
      <c r="F27" s="18"/>
      <c r="G27" s="19"/>
    </row>
    <row r="28" spans="2:10" x14ac:dyDescent="0.25">
      <c r="B28" s="16"/>
      <c r="C28" s="37"/>
      <c r="D28" s="61" t="s">
        <v>19</v>
      </c>
      <c r="E28" s="62" t="s">
        <v>20</v>
      </c>
      <c r="F28" s="18"/>
      <c r="G28" s="19"/>
      <c r="I28" s="57"/>
    </row>
    <row r="29" spans="2:10" x14ac:dyDescent="0.25">
      <c r="B29" s="16"/>
      <c r="C29" s="38" t="s">
        <v>31</v>
      </c>
      <c r="D29" s="50">
        <f>(F*Nd1_-k*Nd2_)*EXP(-rr*t)</f>
        <v>16.239040493629009</v>
      </c>
      <c r="E29" s="51">
        <f>(-F*N__d1+k*N__d2)*EXP(-rr*t)</f>
        <v>24.643379986235548</v>
      </c>
      <c r="F29" s="18"/>
      <c r="G29" s="19"/>
    </row>
    <row r="30" spans="2:10" x14ac:dyDescent="0.25">
      <c r="B30" s="16"/>
      <c r="C30" s="40"/>
      <c r="D30" s="41"/>
      <c r="E30" s="42"/>
      <c r="F30" s="18"/>
      <c r="G30" s="19"/>
      <c r="I30" s="45"/>
    </row>
    <row r="31" spans="2:10" x14ac:dyDescent="0.25">
      <c r="B31" s="16"/>
      <c r="C31" s="38" t="s">
        <v>30</v>
      </c>
      <c r="D31" s="43">
        <f>Nd1_*EXP(-q*t)</f>
        <v>0.44277226148356152</v>
      </c>
      <c r="E31" s="39">
        <f>-N__d1*EXP(-q*t)</f>
        <v>-0.53528038383996834</v>
      </c>
      <c r="F31" s="18"/>
      <c r="G31" s="44"/>
      <c r="I31" s="45"/>
    </row>
    <row r="32" spans="2:10" x14ac:dyDescent="0.25">
      <c r="B32" s="16"/>
      <c r="C32" s="38" t="s">
        <v>17</v>
      </c>
      <c r="D32" s="52">
        <f>EXP(-q*t)*Pd1_/(s*v*t^0.5)</f>
        <v>7.5541497554620926E-3</v>
      </c>
      <c r="E32" s="53">
        <f>EXP(-q*t)*Pd1_/(s*v*t^0.5)</f>
        <v>7.5541497554620926E-3</v>
      </c>
      <c r="F32" s="18"/>
      <c r="G32" s="19"/>
      <c r="I32" s="45"/>
    </row>
    <row r="33" spans="2:9" x14ac:dyDescent="0.25">
      <c r="B33" s="16"/>
      <c r="C33" s="38" t="s">
        <v>16</v>
      </c>
      <c r="D33" s="50">
        <f>s*EXP(-q*t)*Pd1_*t^0.5</f>
        <v>147.19515983905521</v>
      </c>
      <c r="E33" s="51">
        <f>s*EXP(-q*t)*Pd1_*t^0.5</f>
        <v>147.19515983905521</v>
      </c>
      <c r="F33" s="18"/>
      <c r="G33" s="19"/>
    </row>
    <row r="34" spans="2:9" x14ac:dyDescent="0.25">
      <c r="B34" s="16"/>
      <c r="C34" s="38" t="s">
        <v>25</v>
      </c>
      <c r="D34" s="50">
        <f>D33*0.01</f>
        <v>1.471951598390552</v>
      </c>
      <c r="E34" s="51">
        <f>E33*0.01</f>
        <v>1.471951598390552</v>
      </c>
      <c r="F34" s="18"/>
      <c r="G34" s="19"/>
      <c r="I34" s="45"/>
    </row>
    <row r="35" spans="2:9" x14ac:dyDescent="0.25">
      <c r="B35" s="16"/>
      <c r="C35" s="38" t="s">
        <v>32</v>
      </c>
      <c r="D35" s="52">
        <f>-EXP(-q*t)*s*Pd1_*v/(2*t^0.5)-rr*k*EXP(-rr*t)*Nd2_+q*s*EXP(-q*t)*Nd1_</f>
        <v>-16.446680666269973</v>
      </c>
      <c r="E35" s="53">
        <f>-EXP(-q*t)*s*Pd1_*v/(2*t^0.5)+rr*k*EXP(-rr*t)*N__d2-q*s*EXP(-q*t)*N__d1</f>
        <v>-23.217645303250741</v>
      </c>
      <c r="F35" s="18"/>
      <c r="G35" s="19"/>
    </row>
    <row r="36" spans="2:9" x14ac:dyDescent="0.25">
      <c r="B36" s="16"/>
      <c r="C36" s="38" t="s">
        <v>18</v>
      </c>
      <c r="D36" s="52">
        <f>D35/365</f>
        <v>-4.5059399085671158E-2</v>
      </c>
      <c r="E36" s="53">
        <f>E35/365</f>
        <v>-6.3609987132193804E-2</v>
      </c>
      <c r="F36" s="18"/>
      <c r="G36" s="19"/>
      <c r="I36" s="45"/>
    </row>
    <row r="37" spans="2:9" x14ac:dyDescent="0.25">
      <c r="B37" s="16"/>
      <c r="C37" s="38" t="s">
        <v>33</v>
      </c>
      <c r="D37" s="52">
        <f>k*t*EXP(-rr*t)*Nd2_</f>
        <v>110.1209192723726</v>
      </c>
      <c r="E37" s="54">
        <f>-k*t*EXP(-rr*t)*N__d2</f>
        <v>-154.96277308454387</v>
      </c>
      <c r="F37" s="18"/>
      <c r="G37" s="19"/>
    </row>
    <row r="38" spans="2:9" x14ac:dyDescent="0.25">
      <c r="B38" s="16"/>
      <c r="C38" s="38" t="s">
        <v>34</v>
      </c>
      <c r="D38" s="50">
        <f>D37*0.01</f>
        <v>1.101209192723726</v>
      </c>
      <c r="E38" s="51">
        <f>E37*0.01</f>
        <v>-1.5496277308454387</v>
      </c>
      <c r="F38" s="18"/>
      <c r="G38" s="19"/>
      <c r="I38" s="45"/>
    </row>
    <row r="39" spans="2:9" x14ac:dyDescent="0.25">
      <c r="B39" s="16"/>
      <c r="C39" s="38" t="s">
        <v>35</v>
      </c>
      <c r="D39" s="52">
        <f>-s*t*EXP(-q*t)*Nd1_</f>
        <v>-118.12921321443621</v>
      </c>
      <c r="E39" s="54">
        <f>s*t*EXP(-q*t)*N__d1</f>
        <v>142.80987336530441</v>
      </c>
      <c r="F39" s="18"/>
      <c r="G39" s="19"/>
      <c r="I39" s="45"/>
    </row>
    <row r="40" spans="2:9" ht="15.75" thickBot="1" x14ac:dyDescent="0.3">
      <c r="B40" s="16"/>
      <c r="C40" s="58" t="s">
        <v>36</v>
      </c>
      <c r="D40" s="59">
        <f>D39*0.01</f>
        <v>-1.1812921321443621</v>
      </c>
      <c r="E40" s="60">
        <f>E39*0.01</f>
        <v>1.4280987336530442</v>
      </c>
      <c r="F40" s="18"/>
      <c r="G40" s="19"/>
      <c r="I40" s="45"/>
    </row>
    <row r="41" spans="2:9" x14ac:dyDescent="0.25">
      <c r="B41" s="16"/>
      <c r="C41" s="18"/>
      <c r="D41" s="18"/>
      <c r="E41" s="18"/>
      <c r="F41" s="18"/>
      <c r="G41" s="19"/>
    </row>
    <row r="42" spans="2:9" ht="15.75" thickBot="1" x14ac:dyDescent="0.3">
      <c r="B42" s="46"/>
      <c r="C42" s="47" t="s">
        <v>3</v>
      </c>
      <c r="D42" s="47"/>
      <c r="E42" s="47"/>
      <c r="F42" s="48"/>
      <c r="G42" s="49"/>
    </row>
  </sheetData>
  <sheetProtection sheet="1" objects="1" scenarios="1" selectLockedCells="1"/>
  <mergeCells count="1">
    <mergeCell ref="B1:G4"/>
  </mergeCells>
  <conditionalFormatting sqref="E19">
    <cfRule type="expression" dxfId="2" priority="8">
      <formula>OR(E10="days")</formula>
    </cfRule>
  </conditionalFormatting>
  <conditionalFormatting sqref="E18">
    <cfRule type="expression" dxfId="1" priority="5">
      <formula>OR(E10="days")</formula>
    </cfRule>
  </conditionalFormatting>
  <conditionalFormatting sqref="E16">
    <cfRule type="expression" dxfId="0" priority="3">
      <formula>OR(E12="calculate")</formula>
    </cfRule>
  </conditionalFormatting>
  <dataValidations count="5">
    <dataValidation type="date" operator="greaterThanOrEqual" showInputMessage="1" showErrorMessage="1" errorTitle="Invalid date" error="The expiry date cannot be earlier than 'Date now'." sqref="E19">
      <formula1>E18</formula1>
    </dataValidation>
    <dataValidation type="list" errorStyle="warning" showInputMessage="1" showErrorMessage="1" error="Theyear basis should normally be 360 or 365" sqref="E22 E25">
      <formula1>"360,365"</formula1>
    </dataValidation>
    <dataValidation type="list" showInputMessage="1" showErrorMessage="1" errorTitle="Choose method of input" error="Please enter 'DATES' or 'DAYS'." sqref="E10">
      <formula1>"DATES, DAYS"</formula1>
    </dataValidation>
    <dataValidation type="list" showInputMessage="1" showErrorMessage="1" errorTitle="Interest rate input" error="Please enter 'CONTINUOUS' or 'NORMAL'." sqref="E11">
      <formula1>"CONTINUOUS, NORMAL"</formula1>
    </dataValidation>
    <dataValidation type="list" showInputMessage="1" showErrorMessage="1" errorTitle="Interest rate input" error="Please enter 'CALCULATE' or 'INPUT'." sqref="E12">
      <formula1>"CALCULATE, INPUT"</formula1>
    </dataValidation>
  </dataValidations>
  <hyperlinks>
    <hyperlink ref="C42" r:id="rId1" display="www.markets-international.com"/>
  </hyperlinks>
  <printOptions horizontalCentered="1"/>
  <pageMargins left="0" right="0" top="0.74803149606299213" bottom="0.74803149606299213" header="0.31496062992125984" footer="0.31496062992125984"/>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Sheet1</vt:lpstr>
      <vt:lpstr>Sheet2</vt:lpstr>
      <vt:lpstr>Sheet3</vt:lpstr>
      <vt:lpstr>d1_</vt:lpstr>
      <vt:lpstr>d2_</vt:lpstr>
      <vt:lpstr>F</vt:lpstr>
      <vt:lpstr>k</vt:lpstr>
      <vt:lpstr>N__d1</vt:lpstr>
      <vt:lpstr>N__d2</vt:lpstr>
      <vt:lpstr>Nd1_</vt:lpstr>
      <vt:lpstr>Nd2_</vt:lpstr>
      <vt:lpstr>Pd1_</vt:lpstr>
      <vt:lpstr>Pd2_</vt:lpstr>
      <vt:lpstr>Sheet1!Print_Area</vt:lpstr>
      <vt:lpstr>q</vt:lpstr>
      <vt:lpstr>rr</vt:lpstr>
      <vt:lpstr>s</vt:lpstr>
      <vt:lpstr>t</vt:lpstr>
      <vt:lpstr>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2012-01-04T14:55:39Z</cp:lastPrinted>
  <dcterms:created xsi:type="dcterms:W3CDTF">2011-01-13T14:26:35Z</dcterms:created>
  <dcterms:modified xsi:type="dcterms:W3CDTF">2012-01-05T10:56:52Z</dcterms:modified>
</cp:coreProperties>
</file>